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20E0\"/>
    </mc:Choice>
  </mc:AlternateContent>
  <bookViews>
    <workbookView xWindow="0" yWindow="0" windowWidth="19305" windowHeight="8085"/>
  </bookViews>
  <sheets>
    <sheet name="CT20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5" i="1" l="1"/>
  <c r="Y25" i="1"/>
  <c r="Z2" i="1"/>
  <c r="Y2" i="1"/>
  <c r="W2" i="1"/>
  <c r="U2" i="1"/>
  <c r="P2" i="1"/>
  <c r="N2" i="1"/>
  <c r="L2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H22" i="1"/>
  <c r="H6" i="1"/>
  <c r="F22" i="1"/>
  <c r="F21" i="1"/>
  <c r="F20" i="1"/>
  <c r="H20" i="1" s="1"/>
  <c r="F19" i="1"/>
  <c r="F18" i="1"/>
  <c r="H18" i="1" s="1"/>
  <c r="F17" i="1"/>
  <c r="H17" i="1" s="1"/>
  <c r="F16" i="1"/>
  <c r="H16" i="1" s="1"/>
  <c r="F15" i="1"/>
  <c r="F14" i="1"/>
  <c r="H14" i="1" s="1"/>
  <c r="F13" i="1"/>
  <c r="H13" i="1" s="1"/>
  <c r="F12" i="1"/>
  <c r="H12" i="1" s="1"/>
  <c r="F11" i="1"/>
  <c r="F10" i="1"/>
  <c r="F9" i="1"/>
  <c r="H9" i="1" s="1"/>
  <c r="F8" i="1"/>
  <c r="H8" i="1" s="1"/>
  <c r="F7" i="1"/>
  <c r="F6" i="1"/>
  <c r="F5" i="1"/>
  <c r="H5" i="1" s="1"/>
  <c r="F4" i="1"/>
  <c r="H4" i="1" s="1"/>
  <c r="F3" i="1"/>
  <c r="F2" i="1"/>
  <c r="H2" i="1" s="1"/>
  <c r="H21" i="1" l="1"/>
  <c r="H10" i="1"/>
  <c r="H3" i="1"/>
  <c r="H7" i="1"/>
  <c r="H11" i="1"/>
  <c r="H15" i="1"/>
  <c r="H19" i="1"/>
  <c r="AA21" i="1" l="1"/>
  <c r="AA20" i="1"/>
  <c r="AB20" i="1" s="1"/>
  <c r="AA19" i="1"/>
  <c r="AB19" i="1" s="1"/>
  <c r="AA18" i="1"/>
  <c r="AB18" i="1" s="1"/>
  <c r="AA17" i="1"/>
  <c r="AA16" i="1"/>
  <c r="AB16" i="1" s="1"/>
  <c r="AA15" i="1"/>
  <c r="AB15" i="1" s="1"/>
  <c r="AA14" i="1"/>
  <c r="AB14" i="1" s="1"/>
  <c r="AA13" i="1"/>
  <c r="AA12" i="1"/>
  <c r="AB12" i="1" s="1"/>
  <c r="AA11" i="1"/>
  <c r="AB11" i="1" s="1"/>
  <c r="AA10" i="1"/>
  <c r="AB10" i="1" s="1"/>
  <c r="AA9" i="1"/>
  <c r="AA8" i="1"/>
  <c r="AB8" i="1" s="1"/>
  <c r="AA7" i="1"/>
  <c r="AB7" i="1" s="1"/>
  <c r="AA6" i="1"/>
  <c r="AB6" i="1" s="1"/>
  <c r="AA5" i="1"/>
  <c r="AA4" i="1"/>
  <c r="AB4" i="1" s="1"/>
  <c r="AA3" i="1"/>
  <c r="AB3" i="1" s="1"/>
  <c r="AA2" i="1"/>
  <c r="AB2" i="1" s="1"/>
  <c r="AE9" i="1"/>
  <c r="AB5" i="1" l="1"/>
  <c r="AB9" i="1"/>
  <c r="AB13" i="1"/>
  <c r="AB17" i="1"/>
  <c r="AB21" i="1"/>
  <c r="I17" i="1"/>
  <c r="I18" i="1"/>
  <c r="I19" i="1"/>
  <c r="I20" i="1"/>
  <c r="I21" i="1"/>
  <c r="G17" i="1"/>
  <c r="G18" i="1"/>
  <c r="G19" i="1"/>
  <c r="G20" i="1"/>
  <c r="G21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2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22" i="1"/>
  <c r="I2" i="1"/>
  <c r="AE3" i="1" l="1"/>
  <c r="K2" i="1" s="1"/>
  <c r="M2" i="1" s="1"/>
  <c r="X2" i="1" l="1"/>
  <c r="O2" i="1"/>
  <c r="Q2" i="1" s="1"/>
  <c r="T2" i="1"/>
  <c r="K22" i="1"/>
  <c r="L22" i="1" s="1"/>
  <c r="K15" i="1"/>
  <c r="L15" i="1" s="1"/>
  <c r="K12" i="1"/>
  <c r="L12" i="1" s="1"/>
  <c r="K14" i="1"/>
  <c r="L14" i="1" s="1"/>
  <c r="K13" i="1"/>
  <c r="L13" i="1" s="1"/>
  <c r="K9" i="1"/>
  <c r="L9" i="1" s="1"/>
  <c r="K17" i="1"/>
  <c r="L17" i="1" s="1"/>
  <c r="K20" i="1"/>
  <c r="L20" i="1" s="1"/>
  <c r="K19" i="1"/>
  <c r="L19" i="1" s="1"/>
  <c r="K18" i="1"/>
  <c r="L18" i="1" s="1"/>
  <c r="K21" i="1"/>
  <c r="L21" i="1" s="1"/>
  <c r="K3" i="1"/>
  <c r="L3" i="1" s="1"/>
  <c r="K16" i="1"/>
  <c r="L16" i="1" s="1"/>
  <c r="K6" i="1"/>
  <c r="L6" i="1" s="1"/>
  <c r="K7" i="1"/>
  <c r="L7" i="1" s="1"/>
  <c r="K4" i="1"/>
  <c r="L4" i="1" s="1"/>
  <c r="K5" i="1"/>
  <c r="L5" i="1" s="1"/>
  <c r="K10" i="1"/>
  <c r="L10" i="1" s="1"/>
  <c r="K11" i="1"/>
  <c r="L11" i="1" s="1"/>
  <c r="K8" i="1"/>
  <c r="L8" i="1" s="1"/>
  <c r="M5" i="1" l="1"/>
  <c r="N5" i="1" s="1"/>
  <c r="M19" i="1"/>
  <c r="N19" i="1" s="1"/>
  <c r="M4" i="1"/>
  <c r="N4" i="1" s="1"/>
  <c r="M16" i="1"/>
  <c r="N16" i="1" s="1"/>
  <c r="M12" i="1"/>
  <c r="N12" i="1" s="1"/>
  <c r="M8" i="1"/>
  <c r="N8" i="1" s="1"/>
  <c r="M3" i="1"/>
  <c r="N3" i="1" s="1"/>
  <c r="M20" i="1"/>
  <c r="N20" i="1" s="1"/>
  <c r="M15" i="1"/>
  <c r="N15" i="1" s="1"/>
  <c r="AC2" i="1"/>
  <c r="V2" i="1"/>
  <c r="M11" i="1"/>
  <c r="N11" i="1" s="1"/>
  <c r="M7" i="1"/>
  <c r="N7" i="1" s="1"/>
  <c r="M21" i="1"/>
  <c r="N21" i="1" s="1"/>
  <c r="M17" i="1"/>
  <c r="N17" i="1" s="1"/>
  <c r="M13" i="1"/>
  <c r="N13" i="1" s="1"/>
  <c r="M22" i="1"/>
  <c r="N22" i="1" s="1"/>
  <c r="M10" i="1"/>
  <c r="N10" i="1" s="1"/>
  <c r="M6" i="1"/>
  <c r="N6" i="1" s="1"/>
  <c r="M18" i="1"/>
  <c r="N18" i="1" s="1"/>
  <c r="M9" i="1"/>
  <c r="N9" i="1" s="1"/>
  <c r="M14" i="1"/>
  <c r="N14" i="1" s="1"/>
  <c r="Y22" i="1" l="1"/>
  <c r="Z22" i="1" s="1"/>
  <c r="U22" i="1"/>
  <c r="O6" i="1"/>
  <c r="P6" i="1" s="1"/>
  <c r="X6" i="1"/>
  <c r="T6" i="1"/>
  <c r="U6" i="1" s="1"/>
  <c r="O22" i="1"/>
  <c r="X7" i="1"/>
  <c r="T7" i="1"/>
  <c r="U7" i="1" s="1"/>
  <c r="O7" i="1"/>
  <c r="P7" i="1" s="1"/>
  <c r="X3" i="1"/>
  <c r="T3" i="1"/>
  <c r="O3" i="1"/>
  <c r="P3" i="1" s="1"/>
  <c r="X4" i="1"/>
  <c r="T4" i="1"/>
  <c r="O4" i="1"/>
  <c r="P4" i="1" s="1"/>
  <c r="X15" i="1"/>
  <c r="T15" i="1"/>
  <c r="U15" i="1" s="1"/>
  <c r="O15" i="1"/>
  <c r="P15" i="1" s="1"/>
  <c r="X12" i="1"/>
  <c r="T12" i="1"/>
  <c r="U12" i="1" s="1"/>
  <c r="O12" i="1"/>
  <c r="P12" i="1" s="1"/>
  <c r="X5" i="1"/>
  <c r="T5" i="1"/>
  <c r="U5" i="1" s="1"/>
  <c r="O5" i="1"/>
  <c r="P5" i="1" s="1"/>
  <c r="O18" i="1"/>
  <c r="P18" i="1" s="1"/>
  <c r="X18" i="1"/>
  <c r="T18" i="1"/>
  <c r="U18" i="1" s="1"/>
  <c r="X21" i="1"/>
  <c r="T21" i="1"/>
  <c r="U21" i="1" s="1"/>
  <c r="O21" i="1"/>
  <c r="P21" i="1" s="1"/>
  <c r="X20" i="1"/>
  <c r="T20" i="1"/>
  <c r="U20" i="1" s="1"/>
  <c r="O20" i="1"/>
  <c r="P20" i="1" s="1"/>
  <c r="X16" i="1"/>
  <c r="T16" i="1"/>
  <c r="U16" i="1" s="1"/>
  <c r="O16" i="1"/>
  <c r="P16" i="1" s="1"/>
  <c r="X9" i="1"/>
  <c r="T9" i="1"/>
  <c r="U9" i="1" s="1"/>
  <c r="O9" i="1"/>
  <c r="P9" i="1" s="1"/>
  <c r="X17" i="1"/>
  <c r="T17" i="1"/>
  <c r="U17" i="1" s="1"/>
  <c r="O17" i="1"/>
  <c r="P17" i="1" s="1"/>
  <c r="O14" i="1"/>
  <c r="P14" i="1" s="1"/>
  <c r="X14" i="1"/>
  <c r="T14" i="1"/>
  <c r="U14" i="1" s="1"/>
  <c r="O10" i="1"/>
  <c r="P10" i="1" s="1"/>
  <c r="X10" i="1"/>
  <c r="T10" i="1"/>
  <c r="U10" i="1" s="1"/>
  <c r="X13" i="1"/>
  <c r="T13" i="1"/>
  <c r="U13" i="1" s="1"/>
  <c r="O13" i="1"/>
  <c r="P13" i="1" s="1"/>
  <c r="X11" i="1"/>
  <c r="T11" i="1"/>
  <c r="U11" i="1" s="1"/>
  <c r="O11" i="1"/>
  <c r="P11" i="1" s="1"/>
  <c r="X8" i="1"/>
  <c r="T8" i="1"/>
  <c r="U8" i="1" s="1"/>
  <c r="O8" i="1"/>
  <c r="P8" i="1" s="1"/>
  <c r="X19" i="1"/>
  <c r="T19" i="1"/>
  <c r="U19" i="1" s="1"/>
  <c r="O19" i="1"/>
  <c r="P19" i="1" s="1"/>
  <c r="AC17" i="1" l="1"/>
  <c r="Y17" i="1"/>
  <c r="Z17" i="1" s="1"/>
  <c r="AC15" i="1"/>
  <c r="Y15" i="1"/>
  <c r="Z15" i="1" s="1"/>
  <c r="AC6" i="1"/>
  <c r="Y6" i="1"/>
  <c r="Z6" i="1" s="1"/>
  <c r="AC8" i="1"/>
  <c r="Y8" i="1"/>
  <c r="Z8" i="1" s="1"/>
  <c r="AC20" i="1"/>
  <c r="Y20" i="1"/>
  <c r="Z20" i="1" s="1"/>
  <c r="AC12" i="1"/>
  <c r="Y12" i="1"/>
  <c r="Z12" i="1" s="1"/>
  <c r="AC7" i="1"/>
  <c r="Y7" i="1"/>
  <c r="Z7" i="1" s="1"/>
  <c r="AC11" i="1"/>
  <c r="Y11" i="1"/>
  <c r="Z11" i="1" s="1"/>
  <c r="AC14" i="1"/>
  <c r="Y14" i="1"/>
  <c r="Z14" i="1" s="1"/>
  <c r="AC21" i="1"/>
  <c r="Y21" i="1"/>
  <c r="Z21" i="1" s="1"/>
  <c r="AC10" i="1"/>
  <c r="Y10" i="1"/>
  <c r="Z10" i="1" s="1"/>
  <c r="AC16" i="1"/>
  <c r="Y16" i="1"/>
  <c r="Z16" i="1" s="1"/>
  <c r="AC18" i="1"/>
  <c r="Y18" i="1"/>
  <c r="Z18" i="1" s="1"/>
  <c r="AC5" i="1"/>
  <c r="Y5" i="1"/>
  <c r="Z5" i="1" s="1"/>
  <c r="Q22" i="1"/>
  <c r="P22" i="1"/>
  <c r="AC19" i="1"/>
  <c r="Y19" i="1"/>
  <c r="Z19" i="1" s="1"/>
  <c r="AC13" i="1"/>
  <c r="Y13" i="1"/>
  <c r="Z13" i="1" s="1"/>
  <c r="AC9" i="1"/>
  <c r="Y9" i="1"/>
  <c r="Z9" i="1" s="1"/>
  <c r="V13" i="1"/>
  <c r="U4" i="1"/>
  <c r="AC4" i="1"/>
  <c r="Y4" i="1"/>
  <c r="Z4" i="1" s="1"/>
  <c r="AC3" i="1"/>
  <c r="Y3" i="1"/>
  <c r="Z3" i="1" s="1"/>
  <c r="V3" i="1"/>
  <c r="U3" i="1"/>
  <c r="Q8" i="1"/>
  <c r="V8" i="1"/>
  <c r="V12" i="1"/>
  <c r="AC24" i="1"/>
  <c r="V11" i="1"/>
  <c r="V16" i="1"/>
  <c r="V17" i="1"/>
  <c r="Q19" i="1"/>
  <c r="Q14" i="1"/>
  <c r="Q17" i="1"/>
  <c r="Q16" i="1"/>
  <c r="Q20" i="1"/>
  <c r="Q15" i="1"/>
  <c r="Q7" i="1"/>
  <c r="V15" i="1"/>
  <c r="V19" i="1"/>
  <c r="V18" i="1"/>
  <c r="V7" i="1"/>
  <c r="V5" i="1"/>
  <c r="Q13" i="1"/>
  <c r="Q10" i="1"/>
  <c r="Q21" i="1"/>
  <c r="Q12" i="1"/>
  <c r="Q6" i="1"/>
  <c r="V14" i="1"/>
  <c r="V10" i="1"/>
  <c r="V20" i="1"/>
  <c r="V6" i="1"/>
  <c r="V9" i="1"/>
  <c r="V21" i="1"/>
  <c r="V4" i="1"/>
  <c r="Q11" i="1"/>
  <c r="Q9" i="1"/>
  <c r="Q18" i="1"/>
  <c r="Q5" i="1"/>
  <c r="Q4" i="1"/>
  <c r="Q3" i="1"/>
  <c r="W8" i="1" l="1"/>
  <c r="W12" i="1"/>
  <c r="W19" i="1"/>
  <c r="W15" i="1"/>
  <c r="W11" i="1"/>
  <c r="W7" i="1"/>
  <c r="W3" i="1"/>
  <c r="W18" i="1"/>
  <c r="W14" i="1"/>
  <c r="W10" i="1"/>
  <c r="W6" i="1"/>
  <c r="W21" i="1"/>
  <c r="W17" i="1"/>
  <c r="W13" i="1"/>
  <c r="W9" i="1"/>
  <c r="W5" i="1"/>
  <c r="W20" i="1"/>
  <c r="W16" i="1"/>
  <c r="W4" i="1"/>
</calcChain>
</file>

<file path=xl/sharedStrings.xml><?xml version="1.0" encoding="utf-8"?>
<sst xmlns="http://schemas.openxmlformats.org/spreadsheetml/2006/main" count="55" uniqueCount="55">
  <si>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</si>
  <si>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</si>
  <si>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</si>
  <si>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</si>
  <si>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</si>
  <si>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</si>
  <si>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</si>
  <si>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</si>
  <si>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</si>
  <si>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</si>
  <si>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</si>
  <si>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</si>
  <si>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CT20E 1 mL</t>
  </si>
  <si>
    <t>CT20E 2 mL</t>
  </si>
  <si>
    <t>CT20E 3 mL</t>
  </si>
  <si>
    <t>CT20E 4 mL</t>
  </si>
  <si>
    <t>CT20E 5 mL</t>
  </si>
  <si>
    <t>CT20E 6 mL</t>
  </si>
  <si>
    <t>CT20E 7 mL</t>
  </si>
  <si>
    <t>CT20E 8 mL</t>
  </si>
  <si>
    <t>CT20E 9 mL</t>
  </si>
  <si>
    <t>CT20E 10 mL</t>
  </si>
  <si>
    <t>CT20E 11 mL</t>
  </si>
  <si>
    <t>CT20E 12 mL</t>
  </si>
  <si>
    <t>CT20E 13 mL</t>
  </si>
  <si>
    <t>CT20E 14 mL</t>
  </si>
  <si>
    <t>CT20E 15 mL</t>
  </si>
  <si>
    <t>CT20E 16 mL</t>
  </si>
  <si>
    <t>CT20E 17 mL</t>
  </si>
  <si>
    <t>CT20E 18 mL</t>
  </si>
  <si>
    <t>CT20E 19 mL</t>
  </si>
  <si>
    <t>CT20E 20 mL</t>
  </si>
  <si>
    <t>3 ml/min</t>
  </si>
  <si>
    <t>Weight of eluate (g)</t>
  </si>
  <si>
    <t>Weight Corrected Sr-90 Activity (DPM)</t>
  </si>
  <si>
    <t>Cumulative Activity (DPM)</t>
  </si>
  <si>
    <t>Decay constant of sr-90=</t>
  </si>
  <si>
    <t>Time from 19.07.2018</t>
  </si>
  <si>
    <t>DC factor</t>
  </si>
  <si>
    <t>DC to 05.06.2018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</si>
  <si>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</si>
  <si>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</si>
  <si>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</si>
  <si>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</si>
  <si>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</si>
  <si>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</si>
  <si>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</si>
  <si>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</si>
  <si>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</si>
  <si>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</si>
  <si>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</si>
  <si>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</si>
  <si>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</si>
  <si>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Sr-90 activity recovered</t>
  </si>
  <si>
    <t>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</si>
</sst>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2" fontId="0" fillId="0" borderId="0" xfId="0" applyNumberFormat="1"/>
    <xf numFmtId="0" fontId="0" fillId="2" borderId="2" xfId="0" applyFill="1" applyBorder="1"/>
    <xf numFmtId="0" fontId="0" fillId="2" borderId="3" xfId="0" applyFill="1" applyBorder="1"/>
    <xf numFmtId="0" fontId="0" fillId="2" borderId="1" xfId="0" applyFill="1" applyBorder="1"/>
    <xf numFmtId="0" fontId="0" fillId="2" borderId="0" xfId="0" applyFill="1"/>
    <xf numFmtId="166" fontId="0" fillId="2" borderId="3" xfId="0" applyNumberFormat="1" applyFill="1" applyBorder="1"/>
    <xf numFmtId="166" fontId="0" fillId="2" borderId="1" xfId="0" applyNumberFormat="1" applyFill="1" applyBorder="1"/>
    <xf numFmtId="0" fontId="0" fillId="0" borderId="1" xfId="0" applyBorder="1"/>
    <xf numFmtId="0" fontId="0" fillId="0" borderId="2" xfId="0" applyBorder="1"/>
    <xf numFmtId="22" fontId="0" fillId="0" borderId="1" xfId="0" applyNumberFormat="1" applyBorder="1"/>
    <xf numFmtId="2" fontId="0" fillId="0" borderId="1" xfId="0" applyNumberFormat="1" applyBorder="1"/>
    <xf numFmtId="2" fontId="0" fillId="2" borderId="1" xfId="0" applyNumberFormat="1" applyFill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2" fontId="0" fillId="2" borderId="3" xfId="0" applyNumberFormat="1" applyFill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5" xfId="0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3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topLeftCell="N1" zoomScale="60" zoomScaleNormal="60" workbookViewId="0">
      <selection activeCell="AB37" sqref="AB37"/>
    </sheetView>
  </sheetViews>
  <sheetFormatPr defaultRowHeight="15" x14ac:dyDescent="0.25"/>
  <cols>
    <col min="1" max="1" width="13.5703125" bestFit="1" customWidth="1"/>
    <col min="2" max="2" width="20.5703125" customWidth="1"/>
    <col min="3" max="3" width="18" bestFit="1" customWidth="1"/>
    <col min="4" max="4" width="19.42578125" bestFit="1" customWidth="1"/>
    <col min="5" max="5" width="22.140625" style="5" bestFit="1" customWidth="1"/>
    <col min="6" max="6" width="20" style="5" bestFit="1" customWidth="1"/>
    <col min="7" max="7" width="31.5703125" bestFit="1" customWidth="1"/>
    <col min="8" max="8" width="31.5703125" customWidth="1"/>
    <col min="9" max="9" width="19.85546875" bestFit="1" customWidth="1"/>
    <col min="10" max="10" width="21.85546875" bestFit="1" customWidth="1"/>
    <col min="11" max="11" width="17.7109375" customWidth="1"/>
    <col min="12" max="12" width="18.28515625" bestFit="1" customWidth="1"/>
    <col min="13" max="13" width="15.42578125" bestFit="1" customWidth="1"/>
    <col min="14" max="14" width="17.28515625" bestFit="1" customWidth="1"/>
    <col min="15" max="15" width="15.140625" bestFit="1" customWidth="1"/>
    <col min="16" max="16" width="16.5703125" bestFit="1" customWidth="1"/>
    <col min="17" max="17" width="12.7109375" bestFit="1" customWidth="1"/>
    <col min="18" max="18" width="20.5703125" bestFit="1" customWidth="1"/>
    <col min="19" max="19" width="22.7109375" bestFit="1" customWidth="1"/>
    <col min="20" max="20" width="35.42578125" bestFit="1" customWidth="1"/>
    <col min="21" max="21" width="42.7109375" bestFit="1" customWidth="1"/>
    <col min="22" max="22" width="28.7109375" bestFit="1" customWidth="1"/>
    <col min="23" max="30" width="24.7109375" customWidth="1"/>
    <col min="31" max="31" width="22.140625" bestFit="1" customWidth="1"/>
  </cols>
  <sheetData>
    <row r="1" spans="1:31" ht="15.75" thickBot="1" x14ac:dyDescent="0.3">
      <c r="A1" s="25" t="s">
        <v>3</v>
      </c>
      <c r="B1" s="22" t="s">
        <v>5</v>
      </c>
      <c r="C1" s="9" t="s">
        <v>4</v>
      </c>
      <c r="D1" s="9" t="s">
        <v>0</v>
      </c>
      <c r="E1" s="2" t="s">
        <v>40</v>
      </c>
      <c r="F1" s="2" t="s">
        <v>41</v>
      </c>
      <c r="G1" s="9" t="s">
        <v>10</v>
      </c>
      <c r="H1" s="2" t="s">
        <v>42</v>
      </c>
      <c r="I1" s="9" t="s">
        <v>1</v>
      </c>
      <c r="J1" s="2" t="s">
        <v>43</v>
      </c>
      <c r="K1" s="9" t="s">
        <v>6</v>
      </c>
      <c r="L1" s="2" t="s">
        <v>44</v>
      </c>
      <c r="M1" s="9" t="s">
        <v>7</v>
      </c>
      <c r="N1" s="2" t="s">
        <v>45</v>
      </c>
      <c r="O1" s="9" t="s">
        <v>8</v>
      </c>
      <c r="P1" s="2" t="s">
        <v>46</v>
      </c>
      <c r="Q1" s="9" t="s">
        <v>9</v>
      </c>
      <c r="R1" s="9" t="s">
        <v>33</v>
      </c>
      <c r="S1" s="2" t="s">
        <v>47</v>
      </c>
      <c r="T1" s="9" t="s">
        <v>34</v>
      </c>
      <c r="U1" s="2" t="s">
        <v>48</v>
      </c>
      <c r="V1" s="9" t="s">
        <v>35</v>
      </c>
      <c r="W1" s="2" t="s">
        <v>49</v>
      </c>
      <c r="X1" s="9" t="s">
        <v>50</v>
      </c>
      <c r="Y1" s="2" t="s">
        <v>51</v>
      </c>
      <c r="Z1" s="2" t="s">
        <v>52</v>
      </c>
      <c r="AA1" s="9" t="s">
        <v>37</v>
      </c>
      <c r="AB1" s="9" t="s">
        <v>38</v>
      </c>
      <c r="AC1" s="21" t="s">
        <v>39</v>
      </c>
    </row>
    <row r="2" spans="1:31" x14ac:dyDescent="0.25">
      <c r="A2" s="26" t="s">
        <v>12</v>
      </c>
      <c r="B2" s="23">
        <v>43313.583333333336</v>
      </c>
      <c r="C2" s="16">
        <v>43315.59097222222</v>
      </c>
      <c r="D2" s="17">
        <v>11.36</v>
      </c>
      <c r="E2" s="18">
        <v>5.48</v>
      </c>
      <c r="F2" s="3">
        <f>D2*(E2/100)</f>
        <v>0.62252799999999997</v>
      </c>
      <c r="G2" s="15">
        <f t="shared" ref="G2:G22" si="0">D2-$D$22</f>
        <v>3.6899999999999995</v>
      </c>
      <c r="H2" s="3">
        <f>SQRT((F2^2)+(F$17^2))</f>
        <v>0.86130679053865578</v>
      </c>
      <c r="I2" s="19">
        <f>(C2-B2)*24</f>
        <v>48.18333333323244</v>
      </c>
      <c r="J2" s="6">
        <f>1/60</f>
        <v>1.6666666666666666E-2</v>
      </c>
      <c r="K2" s="15">
        <f>1-EXP(-$AE$3*I2)</f>
        <v>0.41954539172059258</v>
      </c>
      <c r="L2" s="3">
        <f>K2*SQRT(((J2/I2)^2))</f>
        <v>1.4512120087217955E-4</v>
      </c>
      <c r="M2" s="15">
        <f>G2/((1+K2))</f>
        <v>2.5994237461666865</v>
      </c>
      <c r="N2" s="3">
        <f t="shared" ref="N2:N22" si="1">M2*SQRT(((H2/G2)^2)+((L2/K2)^2))</f>
        <v>0.60674899252603032</v>
      </c>
      <c r="O2" s="15">
        <f>M2*K2</f>
        <v>1.0905762538333126</v>
      </c>
      <c r="P2" s="3">
        <f t="shared" ref="P2:P22" si="2">O2*SQRT(((N2/M2)^2)+((L2/K2)^2))</f>
        <v>0.25455902325559338</v>
      </c>
      <c r="Q2" s="15">
        <f>M2+O2</f>
        <v>3.6899999999999991</v>
      </c>
      <c r="R2" s="15">
        <v>0.8783000000000003</v>
      </c>
      <c r="S2" s="3">
        <v>1.4142135623730951E-4</v>
      </c>
      <c r="T2" s="15">
        <f>M2/R2</f>
        <v>2.959608045276882</v>
      </c>
      <c r="U2" s="3">
        <f>T2*SQRT(((S2/R2)^2)+((N2/M2)^2))</f>
        <v>0.69082219844034509</v>
      </c>
      <c r="V2" s="15">
        <f>SUM($T$2:T2)</f>
        <v>2.959608045276882</v>
      </c>
      <c r="W2" s="3">
        <f>SQRT((U2^2))</f>
        <v>0.69082219844034509</v>
      </c>
      <c r="X2" s="15">
        <f>M2/60</f>
        <v>4.3323729102778111E-2</v>
      </c>
      <c r="Y2" s="3">
        <f>X2*SQRT(((N2/M2)^2))</f>
        <v>1.0112483208767172E-2</v>
      </c>
      <c r="Z2" s="3">
        <f>Y2^2</f>
        <v>1.02262316647598E-4</v>
      </c>
      <c r="AA2" s="15">
        <f>(C2-$AE$6)*24</f>
        <v>74.183333333290648</v>
      </c>
      <c r="AB2" s="20">
        <f>EXP(-$AE$9*AA2)</f>
        <v>0.99979620620627496</v>
      </c>
      <c r="AC2" s="15">
        <f>X2/AB2</f>
        <v>4.3332560009574278E-2</v>
      </c>
      <c r="AE2" t="s">
        <v>2</v>
      </c>
    </row>
    <row r="3" spans="1:31" x14ac:dyDescent="0.25">
      <c r="A3" s="27" t="s">
        <v>13</v>
      </c>
      <c r="B3" s="24">
        <v>43313.583564814813</v>
      </c>
      <c r="C3" s="10">
        <v>43315.613888888889</v>
      </c>
      <c r="D3" s="11">
        <v>12.28</v>
      </c>
      <c r="E3" s="12">
        <v>5.27</v>
      </c>
      <c r="F3" s="4">
        <f t="shared" ref="F3:F22" si="3">D3*(E3/100)</f>
        <v>0.64715599999999995</v>
      </c>
      <c r="G3" s="8">
        <f t="shared" si="0"/>
        <v>4.6099999999999994</v>
      </c>
      <c r="H3" s="4">
        <f>SQRT((F3^2)+(F$17^2))</f>
        <v>0.87927195166228289</v>
      </c>
      <c r="I3" s="13">
        <f t="shared" ref="I3:I21" si="4">(C3-B3)*24</f>
        <v>48.727777777821757</v>
      </c>
      <c r="J3" s="7">
        <f t="shared" ref="J3:J22" si="5">1/60</f>
        <v>1.6666666666666666E-2</v>
      </c>
      <c r="K3" s="8">
        <f>1-EXP(-$AE$3*I3)</f>
        <v>0.42310207313137527</v>
      </c>
      <c r="L3" s="4">
        <f t="shared" ref="L3:L22" si="6">K3*SQRT(((J3/I3)^2))</f>
        <v>1.4471624893318667E-4</v>
      </c>
      <c r="M3" s="8">
        <f>G3/((1+K3))</f>
        <v>3.2394022094678112</v>
      </c>
      <c r="N3" s="4">
        <f t="shared" si="1"/>
        <v>0.61785685094429288</v>
      </c>
      <c r="O3" s="8">
        <f>M3*K3</f>
        <v>1.3705977905321884</v>
      </c>
      <c r="P3" s="4">
        <f t="shared" si="2"/>
        <v>0.26141693487320272</v>
      </c>
      <c r="Q3" s="8">
        <f t="shared" ref="Q3:Q22" si="7">M3+O3</f>
        <v>4.6099999999999994</v>
      </c>
      <c r="R3" s="8">
        <v>1.0643000000000002</v>
      </c>
      <c r="S3" s="4">
        <v>1.4142135623730951E-4</v>
      </c>
      <c r="T3" s="8">
        <f>M3/R3</f>
        <v>3.0436927646977456</v>
      </c>
      <c r="U3" s="4">
        <f t="shared" ref="U3:U22" si="8">T3*SQRT(((S3/R3)^2)+((N3/M3)^2))</f>
        <v>0.58052898701773958</v>
      </c>
      <c r="V3" s="8">
        <f>SUM($T$2:T3)</f>
        <v>6.0033008099746272</v>
      </c>
      <c r="W3" s="4">
        <f>SQRT((U3^2)+(U2^2))</f>
        <v>0.90235758689435008</v>
      </c>
      <c r="X3" s="8">
        <f t="shared" ref="X3:X21" si="9">M3/60</f>
        <v>5.3990036824463523E-2</v>
      </c>
      <c r="Y3" s="4">
        <f t="shared" ref="Y3:Y16" si="10">X3*SQRT(((N3/M3)^2))</f>
        <v>1.0297614182404883E-2</v>
      </c>
      <c r="Z3" s="4">
        <f t="shared" ref="Z3:Z16" si="11">Y3^2</f>
        <v>1.0604085784966619E-4</v>
      </c>
      <c r="AA3" s="8">
        <f>(C3-$AE$6)*24</f>
        <v>74.733333333337214</v>
      </c>
      <c r="AB3" s="14">
        <f t="shared" ref="AB3:AB21" si="12">EXP(-$AE$9*AA3)</f>
        <v>0.99979469542110533</v>
      </c>
      <c r="AC3" s="8">
        <f t="shared" ref="AC3:AC21" si="13">X3/AB3</f>
        <v>5.4001123502384021E-2</v>
      </c>
      <c r="AE3">
        <f>LN(2)/61.4</f>
        <v>1.1289042028663604E-2</v>
      </c>
    </row>
    <row r="4" spans="1:31" x14ac:dyDescent="0.25">
      <c r="A4" s="27" t="s">
        <v>14</v>
      </c>
      <c r="B4" s="24">
        <v>43313.583796296298</v>
      </c>
      <c r="C4" s="10">
        <v>43315.636805613423</v>
      </c>
      <c r="D4" s="11">
        <v>11.08</v>
      </c>
      <c r="E4" s="12">
        <v>5.55</v>
      </c>
      <c r="F4" s="4">
        <f t="shared" si="3"/>
        <v>0.61494000000000004</v>
      </c>
      <c r="G4" s="8">
        <f t="shared" si="0"/>
        <v>3.41</v>
      </c>
      <c r="H4" s="4">
        <f t="shared" ref="H4:H17" si="14">SQRT((F4^2)+(F$17^2))</f>
        <v>0.85583846620959958</v>
      </c>
      <c r="I4" s="13">
        <f t="shared" si="4"/>
        <v>49.272223611013032</v>
      </c>
      <c r="J4" s="7">
        <f t="shared" si="5"/>
        <v>1.6666666666666666E-2</v>
      </c>
      <c r="K4" s="8">
        <f>1-EXP(-$AE$3*I4)</f>
        <v>0.42663697029695857</v>
      </c>
      <c r="L4" s="4">
        <f t="shared" si="6"/>
        <v>1.4431287347110215E-4</v>
      </c>
      <c r="M4" s="8">
        <f>G4/((1+K4))</f>
        <v>2.3902366691718346</v>
      </c>
      <c r="N4" s="4">
        <f t="shared" si="1"/>
        <v>0.59989980724797143</v>
      </c>
      <c r="O4" s="8">
        <f>M4*K4</f>
        <v>1.0197633308281653</v>
      </c>
      <c r="P4" s="4">
        <f t="shared" si="2"/>
        <v>0.25593966869333068</v>
      </c>
      <c r="Q4" s="8">
        <f t="shared" si="7"/>
        <v>3.41</v>
      </c>
      <c r="R4" s="8">
        <v>0.97100000000000009</v>
      </c>
      <c r="S4" s="4">
        <v>1.4142135623730951E-4</v>
      </c>
      <c r="T4" s="8">
        <f>M4/R4</f>
        <v>2.4616237581584288</v>
      </c>
      <c r="U4" s="4">
        <f t="shared" si="8"/>
        <v>0.61781658934914763</v>
      </c>
      <c r="V4" s="8">
        <f>SUM($T$2:T4)</f>
        <v>8.4649245681330569</v>
      </c>
      <c r="W4" s="4">
        <f>SQRT((U4^2)+(U3^2)+(U2^2))</f>
        <v>1.0935934128828719</v>
      </c>
      <c r="X4" s="8">
        <f t="shared" si="9"/>
        <v>3.983727781953058E-2</v>
      </c>
      <c r="Y4" s="4">
        <f t="shared" si="10"/>
        <v>9.9983301207995229E-3</v>
      </c>
      <c r="Z4" s="4">
        <f t="shared" si="11"/>
        <v>9.9966605204487001E-5</v>
      </c>
      <c r="AA4" s="8">
        <f>(C4-$AE$6)*24</f>
        <v>75.283334722160362</v>
      </c>
      <c r="AB4" s="14">
        <f t="shared" si="12"/>
        <v>0.99979318463440392</v>
      </c>
      <c r="AC4" s="8">
        <f t="shared" si="13"/>
        <v>3.9845518485003423E-2</v>
      </c>
    </row>
    <row r="5" spans="1:31" x14ac:dyDescent="0.25">
      <c r="A5" s="27" t="s">
        <v>15</v>
      </c>
      <c r="B5" s="23">
        <v>43313.584027604164</v>
      </c>
      <c r="C5" s="10">
        <v>43315.659722337965</v>
      </c>
      <c r="D5" s="11">
        <v>22.04</v>
      </c>
      <c r="E5" s="12">
        <v>3.93</v>
      </c>
      <c r="F5" s="4">
        <f t="shared" si="3"/>
        <v>0.86617200000000005</v>
      </c>
      <c r="G5" s="8">
        <f t="shared" si="0"/>
        <v>14.37</v>
      </c>
      <c r="H5" s="4">
        <f t="shared" si="14"/>
        <v>1.0509815460929843</v>
      </c>
      <c r="I5" s="13">
        <f t="shared" si="4"/>
        <v>49.816673611232545</v>
      </c>
      <c r="J5" s="7">
        <f t="shared" si="5"/>
        <v>1.6666666666666666E-2</v>
      </c>
      <c r="K5" s="8">
        <f>1-EXP(-$AE$3*I5)</f>
        <v>0.43015023446190126</v>
      </c>
      <c r="L5" s="4">
        <f t="shared" si="6"/>
        <v>1.4391106540579082E-4</v>
      </c>
      <c r="M5" s="8">
        <f>G5/((1+K5))</f>
        <v>10.047895426459696</v>
      </c>
      <c r="N5" s="4">
        <f t="shared" si="1"/>
        <v>0.73488261355679252</v>
      </c>
      <c r="O5" s="8">
        <f>M5*K5</f>
        <v>4.3221045735403036</v>
      </c>
      <c r="P5" s="4">
        <f t="shared" si="2"/>
        <v>0.31611323578226663</v>
      </c>
      <c r="Q5" s="8">
        <f t="shared" si="7"/>
        <v>14.370000000000001</v>
      </c>
      <c r="R5" s="8">
        <v>0.8879999999999999</v>
      </c>
      <c r="S5" s="4">
        <v>1.4142135623730951E-4</v>
      </c>
      <c r="T5" s="8">
        <f>M5/R5</f>
        <v>11.315197552319479</v>
      </c>
      <c r="U5" s="4">
        <f t="shared" si="8"/>
        <v>0.82757247273425816</v>
      </c>
      <c r="V5" s="8">
        <f>SUM($T$2:T5)</f>
        <v>19.780122120452535</v>
      </c>
      <c r="W5" s="4">
        <f>SQRT((U5^2)+(U4^2)+(U3^2)+(U2^2))</f>
        <v>1.3714309134361462</v>
      </c>
      <c r="X5" s="8">
        <f t="shared" si="9"/>
        <v>0.16746492377432828</v>
      </c>
      <c r="Y5" s="4">
        <f t="shared" si="10"/>
        <v>1.2248043559279876E-2</v>
      </c>
      <c r="Z5" s="4">
        <f t="shared" si="11"/>
        <v>1.5001457103001726E-4</v>
      </c>
      <c r="AA5" s="8">
        <f>(C5-$AE$6)*24</f>
        <v>75.833336111158133</v>
      </c>
      <c r="AB5" s="14">
        <f t="shared" si="12"/>
        <v>0.99979167384998491</v>
      </c>
      <c r="AC5" s="8">
        <f t="shared" si="13"/>
        <v>0.16749981836661682</v>
      </c>
    </row>
    <row r="6" spans="1:31" x14ac:dyDescent="0.25">
      <c r="A6" s="27" t="s">
        <v>16</v>
      </c>
      <c r="B6" s="24">
        <v>43313.584259027775</v>
      </c>
      <c r="C6" s="10">
        <v>43315.682639062499</v>
      </c>
      <c r="D6" s="11">
        <v>199.6</v>
      </c>
      <c r="E6" s="12">
        <v>1.31</v>
      </c>
      <c r="F6" s="4">
        <f t="shared" si="3"/>
        <v>2.61476</v>
      </c>
      <c r="G6" s="8">
        <f t="shared" si="0"/>
        <v>191.93</v>
      </c>
      <c r="H6" s="4">
        <f t="shared" si="14"/>
        <v>2.6816558567877422</v>
      </c>
      <c r="I6" s="13">
        <f t="shared" si="4"/>
        <v>50.361120833375026</v>
      </c>
      <c r="J6" s="7">
        <f t="shared" si="5"/>
        <v>1.6666666666666666E-2</v>
      </c>
      <c r="K6" s="8">
        <f>1-EXP(-$AE$3*I6)</f>
        <v>0.43364195344771594</v>
      </c>
      <c r="L6" s="4">
        <f t="shared" si="6"/>
        <v>1.4351082285693665E-4</v>
      </c>
      <c r="M6" s="8">
        <f>G6/((1+K6))</f>
        <v>133.87582550750147</v>
      </c>
      <c r="N6" s="4">
        <f t="shared" si="1"/>
        <v>1.871044572905272</v>
      </c>
      <c r="O6" s="8">
        <f>M6*K6</f>
        <v>58.054174492498497</v>
      </c>
      <c r="P6" s="4">
        <f t="shared" si="2"/>
        <v>0.81159086384348389</v>
      </c>
      <c r="Q6" s="8">
        <f t="shared" si="7"/>
        <v>191.92999999999998</v>
      </c>
      <c r="R6" s="8">
        <v>0.7444999999999995</v>
      </c>
      <c r="S6" s="4">
        <v>1.4142135623730951E-4</v>
      </c>
      <c r="T6" s="8">
        <f>M6/R6</f>
        <v>179.8197790564158</v>
      </c>
      <c r="U6" s="4">
        <f t="shared" si="8"/>
        <v>2.513388023701129</v>
      </c>
      <c r="V6" s="8">
        <f>SUM($T$2:T6)</f>
        <v>199.59990117686834</v>
      </c>
      <c r="W6" s="4">
        <f>SQRT((U6^2)+(U5^2)+(U4^2)+(U3^2)+(U2^2))</f>
        <v>2.8632048665809036</v>
      </c>
      <c r="X6" s="8">
        <f t="shared" si="9"/>
        <v>2.2312637584583581</v>
      </c>
      <c r="Y6" s="4">
        <f t="shared" si="10"/>
        <v>3.1184076215087873E-2</v>
      </c>
      <c r="Z6" s="4">
        <f t="shared" si="11"/>
        <v>9.7244660938840917E-4</v>
      </c>
      <c r="AA6" s="8">
        <f>(C6-$AE$6)*24</f>
        <v>76.38333749998128</v>
      </c>
      <c r="AB6" s="14">
        <f t="shared" si="12"/>
        <v>0.9997901630678494</v>
      </c>
      <c r="AC6" s="8">
        <f t="shared" si="13"/>
        <v>2.231732058266847</v>
      </c>
      <c r="AE6" s="1">
        <v>43312.5</v>
      </c>
    </row>
    <row r="7" spans="1:31" x14ac:dyDescent="0.25">
      <c r="A7" s="27" t="s">
        <v>17</v>
      </c>
      <c r="B7" s="24">
        <v>43313.584490451387</v>
      </c>
      <c r="C7" s="10">
        <v>43315.705555787034</v>
      </c>
      <c r="D7" s="11">
        <v>516.99</v>
      </c>
      <c r="E7" s="12">
        <v>0.81</v>
      </c>
      <c r="F7" s="4">
        <f t="shared" si="3"/>
        <v>4.1876190000000006</v>
      </c>
      <c r="G7" s="8">
        <f t="shared" si="0"/>
        <v>509.32</v>
      </c>
      <c r="H7" s="4">
        <f t="shared" si="14"/>
        <v>4.2297117119024801</v>
      </c>
      <c r="I7" s="13">
        <f t="shared" si="4"/>
        <v>50.905568055517506</v>
      </c>
      <c r="J7" s="7">
        <f t="shared" si="5"/>
        <v>1.6666666666666666E-2</v>
      </c>
      <c r="K7" s="8">
        <f>1-EXP(-$AE$3*I7)</f>
        <v>0.43711227714267809</v>
      </c>
      <c r="L7" s="4">
        <f t="shared" si="6"/>
        <v>1.4311213679217577E-4</v>
      </c>
      <c r="M7" s="8">
        <f>G7/((1+K7))</f>
        <v>354.40515546401815</v>
      </c>
      <c r="N7" s="4">
        <f t="shared" si="1"/>
        <v>2.9454883678123549</v>
      </c>
      <c r="O7" s="8">
        <f>M7*K7</f>
        <v>154.91484453598181</v>
      </c>
      <c r="P7" s="4">
        <f t="shared" si="2"/>
        <v>1.2885077570161809</v>
      </c>
      <c r="Q7" s="8">
        <f t="shared" si="7"/>
        <v>509.31999999999994</v>
      </c>
      <c r="R7" s="8">
        <v>0.79689999999999994</v>
      </c>
      <c r="S7" s="4">
        <v>1.4142135623730951E-4</v>
      </c>
      <c r="T7" s="8">
        <f>M7/R7</f>
        <v>444.72977219728722</v>
      </c>
      <c r="U7" s="4">
        <f t="shared" si="8"/>
        <v>3.6970256925652256</v>
      </c>
      <c r="V7" s="8">
        <f>SUM($T$2:T7)</f>
        <v>644.32967337415562</v>
      </c>
      <c r="W7" s="4">
        <f>SQRT((U7^2)+(U6^2)+(U5^2)+(U4^2)+(U3^2)+(U2^2))</f>
        <v>4.676103193846342</v>
      </c>
      <c r="X7" s="8">
        <f t="shared" si="9"/>
        <v>5.9067525910669696</v>
      </c>
      <c r="Y7" s="4">
        <f t="shared" si="10"/>
        <v>4.9091472796872586E-2</v>
      </c>
      <c r="Z7" s="4">
        <f t="shared" si="11"/>
        <v>2.4099727013660809E-3</v>
      </c>
      <c r="AA7" s="8">
        <f>(C7-$AE$6)*24</f>
        <v>76.933338888804428</v>
      </c>
      <c r="AB7" s="14">
        <f t="shared" si="12"/>
        <v>0.99978865228799685</v>
      </c>
      <c r="AC7" s="8">
        <f t="shared" si="13"/>
        <v>5.9080012336102046</v>
      </c>
    </row>
    <row r="8" spans="1:31" x14ac:dyDescent="0.25">
      <c r="A8" s="27" t="s">
        <v>18</v>
      </c>
      <c r="B8" s="23">
        <v>43313.584721874999</v>
      </c>
      <c r="C8" s="10">
        <v>43315.727083333331</v>
      </c>
      <c r="D8" s="11">
        <v>438.3</v>
      </c>
      <c r="E8" s="12">
        <v>0.88</v>
      </c>
      <c r="F8" s="4">
        <f t="shared" si="3"/>
        <v>3.8570400000000005</v>
      </c>
      <c r="G8" s="8">
        <f t="shared" si="0"/>
        <v>430.63</v>
      </c>
      <c r="H8" s="4">
        <f t="shared" si="14"/>
        <v>3.9026998140061968</v>
      </c>
      <c r="I8" s="13">
        <f t="shared" si="4"/>
        <v>51.416674999985844</v>
      </c>
      <c r="J8" s="7">
        <f t="shared" si="5"/>
        <v>1.6666666666666666E-2</v>
      </c>
      <c r="K8" s="8">
        <f>1-EXP(-$AE$3*I8)</f>
        <v>0.4403507356046612</v>
      </c>
      <c r="L8" s="4">
        <f t="shared" si="6"/>
        <v>1.4273927527881517E-4</v>
      </c>
      <c r="M8" s="8">
        <f>G8/((1+K8))</f>
        <v>298.97579065644794</v>
      </c>
      <c r="N8" s="4">
        <f t="shared" si="1"/>
        <v>2.7112808394806307</v>
      </c>
      <c r="O8" s="8">
        <f>M8*K8</f>
        <v>131.65420934355205</v>
      </c>
      <c r="P8" s="4">
        <f t="shared" si="2"/>
        <v>1.1946769722305302</v>
      </c>
      <c r="Q8" s="8">
        <f t="shared" si="7"/>
        <v>430.63</v>
      </c>
      <c r="R8" s="8">
        <v>0.81539999999999946</v>
      </c>
      <c r="S8" s="4">
        <v>1.4142135623730951E-4</v>
      </c>
      <c r="T8" s="8">
        <f>M8/R8</f>
        <v>366.66150436159938</v>
      </c>
      <c r="U8" s="4">
        <f t="shared" si="8"/>
        <v>3.3257010679164156</v>
      </c>
      <c r="V8" s="8">
        <f>SUM($T$2:T8)</f>
        <v>1010.9911777357549</v>
      </c>
      <c r="W8" s="4">
        <f>SQRT((U8^2)+(U7^2)+(U6^2)+(U5^2)+(U4^2)+(U3^2)+(U2^2))</f>
        <v>5.7381380841384724</v>
      </c>
      <c r="X8" s="8">
        <f t="shared" si="9"/>
        <v>4.9829298442741328</v>
      </c>
      <c r="Y8" s="4">
        <f t="shared" si="10"/>
        <v>4.5188013991343846E-2</v>
      </c>
      <c r="Z8" s="4">
        <f t="shared" si="11"/>
        <v>2.0419566084818874E-3</v>
      </c>
      <c r="AA8" s="8">
        <f>(C8-$AE$6)*24</f>
        <v>77.449999999953434</v>
      </c>
      <c r="AB8" s="14">
        <f t="shared" si="12"/>
        <v>0.99978723309148299</v>
      </c>
      <c r="AC8" s="8">
        <f t="shared" si="13"/>
        <v>4.9839902724764862</v>
      </c>
      <c r="AE8" t="s">
        <v>36</v>
      </c>
    </row>
    <row r="9" spans="1:31" x14ac:dyDescent="0.25">
      <c r="A9" s="27" t="s">
        <v>19</v>
      </c>
      <c r="B9" s="24">
        <v>43313.58495329861</v>
      </c>
      <c r="C9" s="10">
        <v>43315.75</v>
      </c>
      <c r="D9" s="11">
        <v>239.12</v>
      </c>
      <c r="E9" s="12">
        <v>1.19</v>
      </c>
      <c r="F9" s="4">
        <f t="shared" si="3"/>
        <v>2.8455279999999998</v>
      </c>
      <c r="G9" s="8">
        <f t="shared" si="0"/>
        <v>231.45000000000002</v>
      </c>
      <c r="H9" s="4">
        <f t="shared" si="14"/>
        <v>2.9071184832111676</v>
      </c>
      <c r="I9" s="13">
        <f t="shared" si="4"/>
        <v>51.961120833351742</v>
      </c>
      <c r="J9" s="7">
        <f t="shared" si="5"/>
        <v>1.6666666666666666E-2</v>
      </c>
      <c r="K9" s="8">
        <f>1-EXP(-$AE$3*I9)</f>
        <v>0.44377994293394141</v>
      </c>
      <c r="L9" s="4">
        <f t="shared" si="6"/>
        <v>1.423435881214662E-4</v>
      </c>
      <c r="M9" s="8">
        <f>G9/((1+K9))</f>
        <v>160.3083635652014</v>
      </c>
      <c r="N9" s="4">
        <f t="shared" si="1"/>
        <v>2.0142032323403503</v>
      </c>
      <c r="O9" s="8">
        <f>M9*K9</f>
        <v>71.141636434798613</v>
      </c>
      <c r="P9" s="4">
        <f t="shared" si="2"/>
        <v>0.89415421234584602</v>
      </c>
      <c r="Q9" s="8">
        <f t="shared" si="7"/>
        <v>231.45000000000002</v>
      </c>
      <c r="R9" s="8">
        <v>0.78160000000000007</v>
      </c>
      <c r="S9" s="4">
        <v>1.4142135623730951E-4</v>
      </c>
      <c r="T9" s="8">
        <f>M9/R9</f>
        <v>205.1028193004112</v>
      </c>
      <c r="U9" s="4">
        <f t="shared" si="8"/>
        <v>2.5772928277311205</v>
      </c>
      <c r="V9" s="8">
        <f>SUM($T$2:T9)</f>
        <v>1216.0939970361662</v>
      </c>
      <c r="W9" s="4">
        <f>SQRT((U9^2)+(U8^2)+(U7^2)+(U6^2)+(U5^2)+(U4^2)+(U3^2)+(U2^2))</f>
        <v>6.2903630254950009</v>
      </c>
      <c r="X9" s="8">
        <f t="shared" si="9"/>
        <v>2.6718060594200232</v>
      </c>
      <c r="Y9" s="4">
        <f t="shared" si="10"/>
        <v>3.3570053872339169E-2</v>
      </c>
      <c r="Z9" s="4">
        <f t="shared" si="11"/>
        <v>1.1269485169917541E-3</v>
      </c>
      <c r="AA9" s="8">
        <f>(C9-$AE$6)*24</f>
        <v>78</v>
      </c>
      <c r="AB9" s="14">
        <f t="shared" si="12"/>
        <v>0.99978572231987273</v>
      </c>
      <c r="AC9" s="8">
        <f t="shared" si="13"/>
        <v>2.672378690526251</v>
      </c>
      <c r="AE9">
        <f>LN(2)/252288</f>
        <v>2.7474441137110973E-6</v>
      </c>
    </row>
    <row r="10" spans="1:31" x14ac:dyDescent="0.25">
      <c r="A10" s="27" t="s">
        <v>20</v>
      </c>
      <c r="B10" s="24">
        <v>43313.585184722222</v>
      </c>
      <c r="C10" s="10">
        <v>43315.772916724534</v>
      </c>
      <c r="D10" s="11">
        <v>130.61000000000001</v>
      </c>
      <c r="E10" s="12">
        <v>1.62</v>
      </c>
      <c r="F10" s="4">
        <f t="shared" si="3"/>
        <v>2.1158820000000005</v>
      </c>
      <c r="G10" s="8">
        <f t="shared" si="0"/>
        <v>122.94000000000001</v>
      </c>
      <c r="H10" s="4">
        <f t="shared" si="14"/>
        <v>2.1980138567734286</v>
      </c>
      <c r="I10" s="13">
        <f t="shared" si="4"/>
        <v>52.505568055494223</v>
      </c>
      <c r="J10" s="7">
        <f t="shared" si="5"/>
        <v>1.6666666666666666E-2</v>
      </c>
      <c r="K10" s="8">
        <f>1-EXP(-$AE$3*I10)</f>
        <v>0.44718814672904972</v>
      </c>
      <c r="L10" s="4">
        <f t="shared" si="6"/>
        <v>1.419494361234245E-4</v>
      </c>
      <c r="M10" s="8">
        <f>G10/((1+K10))</f>
        <v>84.950944545718073</v>
      </c>
      <c r="N10" s="4">
        <f t="shared" si="1"/>
        <v>1.5190562901412474</v>
      </c>
      <c r="O10" s="8">
        <f>M10*K10</f>
        <v>37.989055454281939</v>
      </c>
      <c r="P10" s="4">
        <f t="shared" si="2"/>
        <v>0.67941098974411385</v>
      </c>
      <c r="Q10" s="8">
        <f t="shared" si="7"/>
        <v>122.94000000000001</v>
      </c>
      <c r="R10" s="8">
        <v>0.79399999999999959</v>
      </c>
      <c r="S10" s="4">
        <v>1.4142135623730951E-4</v>
      </c>
      <c r="T10" s="8">
        <f>M10/R10</f>
        <v>106.99111403742836</v>
      </c>
      <c r="U10" s="4">
        <f t="shared" si="8"/>
        <v>1.9132640364190312</v>
      </c>
      <c r="V10" s="8">
        <f>SUM($T$2:T10)</f>
        <v>1323.0851110735946</v>
      </c>
      <c r="W10" s="4">
        <f>SQRT((U10^2)+(U9^2)+(U8^2)+(U7^2)+(U6^2)+(U5^2)+(U4^2)+(U3^2)+(U2^2))</f>
        <v>6.5748951524392441</v>
      </c>
      <c r="X10" s="8">
        <f t="shared" si="9"/>
        <v>1.4158490757619679</v>
      </c>
      <c r="Y10" s="4">
        <f t="shared" si="10"/>
        <v>2.5317604835687457E-2</v>
      </c>
      <c r="Z10" s="4">
        <f t="shared" si="11"/>
        <v>6.4098111461602489E-4</v>
      </c>
      <c r="AA10" s="8">
        <f>(C10-$AE$6)*24</f>
        <v>78.550001388823148</v>
      </c>
      <c r="AB10" s="14">
        <f t="shared" si="12"/>
        <v>0.99978421154673047</v>
      </c>
      <c r="AC10" s="8">
        <f t="shared" si="13"/>
        <v>1.4161546655868453</v>
      </c>
    </row>
    <row r="11" spans="1:31" x14ac:dyDescent="0.25">
      <c r="A11" s="27" t="s">
        <v>21</v>
      </c>
      <c r="B11" s="23">
        <v>43313.585416145834</v>
      </c>
      <c r="C11" s="10">
        <v>43315.795833449076</v>
      </c>
      <c r="D11" s="11">
        <v>66.63</v>
      </c>
      <c r="E11" s="12">
        <v>2.2599999999999998</v>
      </c>
      <c r="F11" s="4">
        <f t="shared" si="3"/>
        <v>1.5058379999999998</v>
      </c>
      <c r="G11" s="8">
        <f t="shared" si="0"/>
        <v>58.959999999999994</v>
      </c>
      <c r="H11" s="4">
        <f t="shared" si="14"/>
        <v>1.6192147352615092</v>
      </c>
      <c r="I11" s="13">
        <f t="shared" si="4"/>
        <v>53.050015277811326</v>
      </c>
      <c r="J11" s="7">
        <f t="shared" si="5"/>
        <v>1.6666666666666666E-2</v>
      </c>
      <c r="K11" s="8">
        <f>1-EXP(-$AE$3*I11)</f>
        <v>0.4505754669685238</v>
      </c>
      <c r="L11" s="4">
        <f t="shared" si="6"/>
        <v>1.4155681344889303E-4</v>
      </c>
      <c r="M11" s="8">
        <f>G11/((1+K11))</f>
        <v>40.645937658946615</v>
      </c>
      <c r="N11" s="4">
        <f t="shared" si="1"/>
        <v>1.1163298429744364</v>
      </c>
      <c r="O11" s="8">
        <f>M11*K11</f>
        <v>18.314062341053379</v>
      </c>
      <c r="P11" s="4">
        <f t="shared" si="2"/>
        <v>0.50302374753759749</v>
      </c>
      <c r="Q11" s="8">
        <f t="shared" si="7"/>
        <v>58.959999999999994</v>
      </c>
      <c r="R11" s="8">
        <v>0.75930000000000053</v>
      </c>
      <c r="S11" s="4">
        <v>1.4142135623730951E-4</v>
      </c>
      <c r="T11" s="8">
        <f>M11/R11</f>
        <v>53.530801605355705</v>
      </c>
      <c r="U11" s="4">
        <f t="shared" si="8"/>
        <v>1.4702430028110991</v>
      </c>
      <c r="V11" s="8">
        <f>SUM($T$2:T11)</f>
        <v>1376.6159126789503</v>
      </c>
      <c r="W11" s="4">
        <f>SQRT((U11^2)+(U10^2)+(U9^2)+(U8^2)+(U7^2)+(U6^2)+(U5^2)+(U4^2)+(U3^2)+(U2^2))</f>
        <v>6.7372739852913854</v>
      </c>
      <c r="X11" s="8">
        <f t="shared" si="9"/>
        <v>0.6774322943157769</v>
      </c>
      <c r="Y11" s="4">
        <f t="shared" si="10"/>
        <v>1.860549738290727E-2</v>
      </c>
      <c r="Z11" s="4">
        <f t="shared" si="11"/>
        <v>3.4616453286536928E-4</v>
      </c>
      <c r="AA11" s="8">
        <f>(C11-$AE$6)*24</f>
        <v>79.100002777820919</v>
      </c>
      <c r="AB11" s="14">
        <f t="shared" si="12"/>
        <v>0.99978270077587073</v>
      </c>
      <c r="AC11" s="8">
        <f t="shared" si="13"/>
        <v>0.67757953182232777</v>
      </c>
    </row>
    <row r="12" spans="1:31" x14ac:dyDescent="0.25">
      <c r="A12" s="27" t="s">
        <v>22</v>
      </c>
      <c r="B12" s="24">
        <v>43313.585647569445</v>
      </c>
      <c r="C12" s="10">
        <v>43315.81875017361</v>
      </c>
      <c r="D12" s="11">
        <v>44.39</v>
      </c>
      <c r="E12" s="12">
        <v>2.77</v>
      </c>
      <c r="F12" s="4">
        <f t="shared" si="3"/>
        <v>1.229603</v>
      </c>
      <c r="G12" s="8">
        <f t="shared" si="0"/>
        <v>36.72</v>
      </c>
      <c r="H12" s="4">
        <f t="shared" si="14"/>
        <v>1.3661009531703725</v>
      </c>
      <c r="I12" s="13">
        <f t="shared" si="4"/>
        <v>53.594462499953806</v>
      </c>
      <c r="J12" s="7">
        <f t="shared" si="5"/>
        <v>1.6666666666666666E-2</v>
      </c>
      <c r="K12" s="8">
        <f>1-EXP(-$AE$3*I12)</f>
        <v>0.45394203161288549</v>
      </c>
      <c r="L12" s="4">
        <f t="shared" si="6"/>
        <v>1.4116571328405328E-4</v>
      </c>
      <c r="M12" s="8">
        <f>G12/((1+K12))</f>
        <v>25.255477317253018</v>
      </c>
      <c r="N12" s="4">
        <f t="shared" si="1"/>
        <v>0.93961701918152596</v>
      </c>
      <c r="O12" s="8">
        <f>M12*K12</f>
        <v>11.464522682746981</v>
      </c>
      <c r="P12" s="4">
        <f t="shared" si="2"/>
        <v>0.42654655843642325</v>
      </c>
      <c r="Q12" s="8">
        <f t="shared" si="7"/>
        <v>36.72</v>
      </c>
      <c r="R12" s="8">
        <v>0.84200000000000053</v>
      </c>
      <c r="S12" s="4">
        <v>1.4142135623730951E-4</v>
      </c>
      <c r="T12" s="8">
        <f>M12/R12</f>
        <v>29.994628642818292</v>
      </c>
      <c r="U12" s="4">
        <f t="shared" si="8"/>
        <v>1.1159460737217226</v>
      </c>
      <c r="V12" s="8">
        <f>SUM($T$2:T12)</f>
        <v>1406.6105413217686</v>
      </c>
      <c r="W12" s="4">
        <f>SQRT((U12^2)+(U11^2)+(U10^2)+(U9^2)+(U8^2)+(U7^2)+(U6^2)+(U5^2)+(U4^2)+(U3^2)+(U2^2))</f>
        <v>6.8290699507574963</v>
      </c>
      <c r="X12" s="8">
        <f t="shared" si="9"/>
        <v>0.42092462195421698</v>
      </c>
      <c r="Y12" s="4">
        <f t="shared" si="10"/>
        <v>1.5660283653025433E-2</v>
      </c>
      <c r="Z12" s="4">
        <f t="shared" si="11"/>
        <v>2.4524448409321559E-4</v>
      </c>
      <c r="AA12" s="8">
        <f>(C12-$AE$6)*24</f>
        <v>79.650004166644067</v>
      </c>
      <c r="AB12" s="14">
        <f t="shared" si="12"/>
        <v>0.99978119000729437</v>
      </c>
      <c r="AC12" s="8">
        <f t="shared" si="13"/>
        <v>0.42101674462503735</v>
      </c>
    </row>
    <row r="13" spans="1:31" x14ac:dyDescent="0.25">
      <c r="A13" s="27" t="s">
        <v>23</v>
      </c>
      <c r="B13" s="24">
        <v>43313.585878993057</v>
      </c>
      <c r="C13" s="10">
        <v>43315.841666898152</v>
      </c>
      <c r="D13" s="11">
        <v>23.3</v>
      </c>
      <c r="E13" s="12">
        <v>3.83</v>
      </c>
      <c r="F13" s="4">
        <f t="shared" si="3"/>
        <v>0.89239000000000002</v>
      </c>
      <c r="G13" s="8">
        <f t="shared" si="0"/>
        <v>15.63</v>
      </c>
      <c r="H13" s="4">
        <f t="shared" si="14"/>
        <v>1.0726920288433208</v>
      </c>
      <c r="I13" s="13">
        <f t="shared" si="4"/>
        <v>54.13890972227091</v>
      </c>
      <c r="J13" s="7">
        <f t="shared" si="5"/>
        <v>1.6666666666666666E-2</v>
      </c>
      <c r="K13" s="8">
        <f>1-EXP(-$AE$3*I13)</f>
        <v>0.45728796784290549</v>
      </c>
      <c r="L13" s="4">
        <f t="shared" si="6"/>
        <v>1.4077612884730629E-4</v>
      </c>
      <c r="M13" s="8">
        <f>G13/((1+K13))</f>
        <v>10.725402490720972</v>
      </c>
      <c r="N13" s="4">
        <f t="shared" si="1"/>
        <v>0.73609529770215465</v>
      </c>
      <c r="O13" s="8">
        <f>M13*K13</f>
        <v>4.9045975092790304</v>
      </c>
      <c r="P13" s="4">
        <f t="shared" si="2"/>
        <v>0.33661090915461489</v>
      </c>
      <c r="Q13" s="8">
        <f t="shared" si="7"/>
        <v>15.630000000000003</v>
      </c>
      <c r="R13" s="8">
        <v>0.75010000000000066</v>
      </c>
      <c r="S13" s="4">
        <v>1.4142135623730951E-4</v>
      </c>
      <c r="T13" s="8">
        <f>M13/R13</f>
        <v>14.298630170271915</v>
      </c>
      <c r="U13" s="4">
        <f t="shared" si="8"/>
        <v>0.98133325583488551</v>
      </c>
      <c r="V13" s="8">
        <f>SUM($T$2:T13)</f>
        <v>1420.9091714920405</v>
      </c>
      <c r="W13" s="4">
        <f>SQRT((U13^2)+(U12^2)+(U11^2)+(U10^2)+(U9^2)+(U8^2)+(U7^2)+(U6^2)+(U5^2)+(U4^2)+(U3^2)+(U2^2))</f>
        <v>6.8992181695715704</v>
      </c>
      <c r="X13" s="8">
        <f t="shared" si="9"/>
        <v>0.17875670817868286</v>
      </c>
      <c r="Y13" s="4">
        <f t="shared" si="10"/>
        <v>1.2268254961702576E-2</v>
      </c>
      <c r="Z13" s="4">
        <f t="shared" si="11"/>
        <v>1.5051007980533987E-4</v>
      </c>
      <c r="AA13" s="8">
        <f>(C13-$AE$6)*24</f>
        <v>80.200005555641837</v>
      </c>
      <c r="AB13" s="14">
        <f t="shared" si="12"/>
        <v>0.99977967924100042</v>
      </c>
      <c r="AC13" s="8">
        <f t="shared" si="13"/>
        <v>0.17879610067128893</v>
      </c>
    </row>
    <row r="14" spans="1:31" x14ac:dyDescent="0.25">
      <c r="A14" s="27" t="s">
        <v>24</v>
      </c>
      <c r="B14" s="23">
        <v>43313.586110416669</v>
      </c>
      <c r="C14" s="10">
        <v>43315.864583622686</v>
      </c>
      <c r="D14" s="11">
        <v>17.739999999999998</v>
      </c>
      <c r="E14" s="12">
        <v>4.3899999999999997</v>
      </c>
      <c r="F14" s="4">
        <f t="shared" si="3"/>
        <v>0.77878599999999987</v>
      </c>
      <c r="G14" s="8">
        <f t="shared" si="0"/>
        <v>10.069999999999999</v>
      </c>
      <c r="H14" s="4">
        <f t="shared" si="14"/>
        <v>0.98021217623532908</v>
      </c>
      <c r="I14" s="13">
        <f t="shared" si="4"/>
        <v>54.68335694441339</v>
      </c>
      <c r="J14" s="7">
        <f t="shared" si="5"/>
        <v>1.6666666666666666E-2</v>
      </c>
      <c r="K14" s="8">
        <f>1-EXP(-$AE$3*I14)</f>
        <v>0.46061340205576962</v>
      </c>
      <c r="L14" s="4">
        <f t="shared" si="6"/>
        <v>1.4038805339011142E-4</v>
      </c>
      <c r="M14" s="8">
        <f>G14/((1+K14))</f>
        <v>6.8943636870829588</v>
      </c>
      <c r="N14" s="4">
        <f t="shared" si="1"/>
        <v>0.67109953932571365</v>
      </c>
      <c r="O14" s="8">
        <f>M14*K14</f>
        <v>3.1756363129170411</v>
      </c>
      <c r="P14" s="4">
        <f t="shared" si="2"/>
        <v>0.30911895721113686</v>
      </c>
      <c r="Q14" s="8">
        <f t="shared" si="7"/>
        <v>10.07</v>
      </c>
      <c r="R14" s="8">
        <v>1.0818000000000003</v>
      </c>
      <c r="S14" s="4">
        <v>1.4142135623730951E-4</v>
      </c>
      <c r="T14" s="8">
        <f>M14/R14</f>
        <v>6.3730483334100176</v>
      </c>
      <c r="U14" s="4">
        <f t="shared" si="8"/>
        <v>0.62035509755719664</v>
      </c>
      <c r="V14" s="8">
        <f>SUM($T$2:T14)</f>
        <v>1427.2822198254505</v>
      </c>
      <c r="W14" s="4">
        <f>SQRT((U14^2)+(U13^2)+(U12^2)+(U11^2)+(U10^2)+(U9^2)+(U8^2)+(U7^2)+(U6^2)+(U5^2)+(U4^2)+(U3^2)+(U2^2))</f>
        <v>6.9270521723465954</v>
      </c>
      <c r="X14" s="8">
        <f t="shared" si="9"/>
        <v>0.11490606145138264</v>
      </c>
      <c r="Y14" s="4">
        <f t="shared" si="10"/>
        <v>1.1184992322095227E-2</v>
      </c>
      <c r="Z14" s="4">
        <f t="shared" si="11"/>
        <v>1.2510405324532917E-4</v>
      </c>
      <c r="AA14" s="8">
        <f>(C14-$AE$6)*24</f>
        <v>80.750006944464985</v>
      </c>
      <c r="AB14" s="14">
        <f t="shared" si="12"/>
        <v>0.99977816847698997</v>
      </c>
      <c r="AC14" s="8">
        <f t="shared" si="13"/>
        <v>0.11493155689369028</v>
      </c>
    </row>
    <row r="15" spans="1:31" x14ac:dyDescent="0.25">
      <c r="A15" s="27" t="s">
        <v>25</v>
      </c>
      <c r="B15" s="24">
        <v>43313.586341840281</v>
      </c>
      <c r="C15" s="10">
        <v>43315.88750034722</v>
      </c>
      <c r="D15" s="11">
        <v>13.44</v>
      </c>
      <c r="E15" s="12">
        <v>5.04</v>
      </c>
      <c r="F15" s="4">
        <f t="shared" si="3"/>
        <v>0.67737599999999998</v>
      </c>
      <c r="G15" s="8">
        <f t="shared" si="0"/>
        <v>5.77</v>
      </c>
      <c r="H15" s="4">
        <f t="shared" si="14"/>
        <v>0.9017463734443294</v>
      </c>
      <c r="I15" s="13">
        <f t="shared" si="4"/>
        <v>55.22780416655587</v>
      </c>
      <c r="J15" s="7">
        <f t="shared" si="5"/>
        <v>1.6666666666666666E-2</v>
      </c>
      <c r="K15" s="8">
        <f>1-EXP(-$AE$3*I15)</f>
        <v>0.46391845987738234</v>
      </c>
      <c r="L15" s="4">
        <f t="shared" si="6"/>
        <v>1.4000148019594692E-4</v>
      </c>
      <c r="M15" s="8">
        <f>G15/((1+K15))</f>
        <v>3.9414763582414922</v>
      </c>
      <c r="N15" s="4">
        <f t="shared" si="1"/>
        <v>0.61598243300893019</v>
      </c>
      <c r="O15" s="8">
        <f>M15*K15</f>
        <v>1.8285236417585067</v>
      </c>
      <c r="P15" s="4">
        <f t="shared" si="2"/>
        <v>0.28576615440666098</v>
      </c>
      <c r="Q15" s="8">
        <f t="shared" si="7"/>
        <v>5.7699999999999987</v>
      </c>
      <c r="R15" s="8">
        <v>0.75090000000000057</v>
      </c>
      <c r="S15" s="4">
        <v>1.4142135623730951E-4</v>
      </c>
      <c r="T15" s="8">
        <f>M15/R15</f>
        <v>5.2490030073797964</v>
      </c>
      <c r="U15" s="4">
        <f t="shared" si="8"/>
        <v>0.82032611572084013</v>
      </c>
      <c r="V15" s="8">
        <f>SUM($T$2:T15)</f>
        <v>1432.5312228328303</v>
      </c>
      <c r="W15" s="4">
        <f>SQRT((U15^2)+(U14^2)+(U13^2)+(U12^2)+(U11^2)+(U10^2)+(U9^2)+(U8^2)+(U7^2)+(U6^2)+(U5^2)+(U4^2)+(U3^2)+(U2^2))</f>
        <v>6.9754560234113248</v>
      </c>
      <c r="X15" s="8">
        <f t="shared" si="9"/>
        <v>6.5691272637358203E-2</v>
      </c>
      <c r="Y15" s="4">
        <f t="shared" si="10"/>
        <v>1.0266373883482168E-2</v>
      </c>
      <c r="Z15" s="4">
        <f t="shared" si="11"/>
        <v>1.0539843271544473E-4</v>
      </c>
      <c r="AA15" s="8">
        <f>(C15-$AE$6)*24</f>
        <v>81.300008333288133</v>
      </c>
      <c r="AB15" s="14">
        <f t="shared" si="12"/>
        <v>0.99977665771526236</v>
      </c>
      <c r="AC15" s="8">
        <f t="shared" si="13"/>
        <v>6.5705947553805724E-2</v>
      </c>
    </row>
    <row r="16" spans="1:31" x14ac:dyDescent="0.25">
      <c r="A16" s="27" t="s">
        <v>26</v>
      </c>
      <c r="B16" s="24">
        <v>43313.586573263892</v>
      </c>
      <c r="C16" s="10">
        <v>43315.910417071762</v>
      </c>
      <c r="D16" s="11">
        <v>12.07</v>
      </c>
      <c r="E16" s="12">
        <v>5.31</v>
      </c>
      <c r="F16" s="4">
        <f t="shared" si="3"/>
        <v>0.64091699999999996</v>
      </c>
      <c r="G16" s="8">
        <f t="shared" si="0"/>
        <v>4.4000000000000004</v>
      </c>
      <c r="H16" s="4">
        <f t="shared" si="14"/>
        <v>0.87469016087583829</v>
      </c>
      <c r="I16" s="13">
        <f t="shared" si="4"/>
        <v>55.772251388872974</v>
      </c>
      <c r="J16" s="7">
        <f t="shared" si="5"/>
        <v>1.6666666666666666E-2</v>
      </c>
      <c r="K16" s="8">
        <f>1-EXP(-$AE$3*I16)</f>
        <v>0.46720326616386365</v>
      </c>
      <c r="L16" s="4">
        <f t="shared" si="6"/>
        <v>1.396164025805237E-4</v>
      </c>
      <c r="M16" s="8">
        <f>G16/((1+K16))</f>
        <v>2.9989028115403533</v>
      </c>
      <c r="N16" s="4">
        <f t="shared" si="1"/>
        <v>0.59616221510150647</v>
      </c>
      <c r="O16" s="8">
        <f>M16*K16</f>
        <v>1.4010971884596468</v>
      </c>
      <c r="P16" s="4">
        <f t="shared" si="2"/>
        <v>0.27852924875917495</v>
      </c>
      <c r="Q16" s="8">
        <f t="shared" si="7"/>
        <v>4.4000000000000004</v>
      </c>
      <c r="R16" s="8">
        <v>0.81349999999999945</v>
      </c>
      <c r="S16" s="4">
        <v>1.4142135623730951E-4</v>
      </c>
      <c r="T16" s="8">
        <f>M16/R16</f>
        <v>3.6864201739893736</v>
      </c>
      <c r="U16" s="4">
        <f t="shared" si="8"/>
        <v>0.73283643891138983</v>
      </c>
      <c r="V16" s="8">
        <f>SUM($T$2:T16)</f>
        <v>1436.2176430068196</v>
      </c>
      <c r="W16" s="4">
        <f>SQRT((U16^2)+(U15^2)+(U14^2)+(U13^2)+(U12^2)+(U11^2)+(U10^2)+(U9^2)+(U8^2)+(U7^2)+(U6^2)+(U5^2)+(U4^2)+(U3^2)+(U2^2))</f>
        <v>7.0138460191781844</v>
      </c>
      <c r="X16" s="8">
        <f t="shared" si="9"/>
        <v>4.9981713525672558E-2</v>
      </c>
      <c r="Y16" s="4">
        <f t="shared" si="10"/>
        <v>9.9360369183584419E-3</v>
      </c>
      <c r="Z16" s="4">
        <f t="shared" si="11"/>
        <v>9.8724829642981917E-5</v>
      </c>
      <c r="AA16" s="8">
        <f>(C16-$AE$6)*24</f>
        <v>81.850009722285904</v>
      </c>
      <c r="AB16" s="14">
        <f t="shared" si="12"/>
        <v>0.99977514695581715</v>
      </c>
      <c r="AC16" s="8">
        <f t="shared" si="13"/>
        <v>4.9992954593700643E-2</v>
      </c>
    </row>
    <row r="17" spans="1:29" x14ac:dyDescent="0.25">
      <c r="A17" s="27" t="s">
        <v>27</v>
      </c>
      <c r="B17" s="23">
        <v>43313.586804687497</v>
      </c>
      <c r="C17" s="10">
        <v>43315.933333796296</v>
      </c>
      <c r="D17" s="11">
        <v>10.37</v>
      </c>
      <c r="E17" s="12">
        <v>5.74</v>
      </c>
      <c r="F17" s="4">
        <f t="shared" si="3"/>
        <v>0.59523799999999993</v>
      </c>
      <c r="G17" s="8">
        <f t="shared" si="0"/>
        <v>2.6999999999999993</v>
      </c>
      <c r="H17" s="4">
        <f t="shared" si="14"/>
        <v>0.84179365243983628</v>
      </c>
      <c r="I17" s="13">
        <f>(C17-B17)*24</f>
        <v>56.316698611190077</v>
      </c>
      <c r="J17" s="7">
        <f t="shared" si="5"/>
        <v>1.6666666666666666E-2</v>
      </c>
      <c r="K17" s="8">
        <f>1-EXP(-$AE$3*I17)</f>
        <v>0.47046794500417832</v>
      </c>
      <c r="L17" s="4">
        <f t="shared" si="6"/>
        <v>1.3923281389186901E-4</v>
      </c>
      <c r="M17" s="8">
        <f>G17/((1+K17))</f>
        <v>1.8361501923065229</v>
      </c>
      <c r="N17" s="4">
        <f t="shared" si="1"/>
        <v>0.57246676783431705</v>
      </c>
      <c r="O17" s="8">
        <f>M17*K17</f>
        <v>0.86384980769347663</v>
      </c>
      <c r="P17" s="4">
        <f t="shared" si="2"/>
        <v>0.2693273851820609</v>
      </c>
      <c r="Q17" s="8">
        <f t="shared" si="7"/>
        <v>2.6999999999999993</v>
      </c>
      <c r="R17" s="8">
        <v>0.83100000000000041</v>
      </c>
      <c r="S17" s="4">
        <v>1.4142135623731E-4</v>
      </c>
      <c r="T17" s="8">
        <f>M17/R17</f>
        <v>2.2095670184194005</v>
      </c>
      <c r="U17" s="4">
        <f t="shared" si="8"/>
        <v>0.68888911325827451</v>
      </c>
      <c r="V17" s="8">
        <f>SUM($T$2:T17)</f>
        <v>1438.427210025239</v>
      </c>
      <c r="W17" s="4">
        <f>SQRT((U17^2)+(U16^2)+(U15^2)+(U14^2)+(U13^2)+(U12^2)+(U11^2)+(U10^2)+(U9^2)+(U8^2)+(U7^2)+(U6^2)+(U5^2)+(U4^2)+(U3^2)+(U2^2))</f>
        <v>7.0475956319235165</v>
      </c>
      <c r="X17" s="8">
        <f t="shared" si="9"/>
        <v>3.0602503205108714E-2</v>
      </c>
      <c r="Y17" s="4">
        <f>X17*SQRT(((N17/M17)^2))</f>
        <v>9.541112797238618E-3</v>
      </c>
      <c r="Z17" s="4">
        <f>Y17^2</f>
        <v>9.1032833409630524E-5</v>
      </c>
      <c r="AA17" s="8">
        <f>(C17-$AE$6)*24</f>
        <v>82.400011111109052</v>
      </c>
      <c r="AB17" s="14">
        <f t="shared" si="12"/>
        <v>0.99977363619865534</v>
      </c>
      <c r="AC17" s="8">
        <f t="shared" si="13"/>
        <v>3.060943207250965E-2</v>
      </c>
    </row>
    <row r="18" spans="1:29" x14ac:dyDescent="0.25">
      <c r="A18" s="27" t="s">
        <v>28</v>
      </c>
      <c r="B18" s="24">
        <v>43313.587036111108</v>
      </c>
      <c r="C18" s="10">
        <v>43315.956250520831</v>
      </c>
      <c r="D18" s="11">
        <v>9.24</v>
      </c>
      <c r="E18" s="12">
        <v>6.07</v>
      </c>
      <c r="F18" s="4">
        <f>D18*(E18/100)</f>
        <v>0.56086800000000003</v>
      </c>
      <c r="G18" s="8">
        <f t="shared" si="0"/>
        <v>1.5700000000000003</v>
      </c>
      <c r="H18" s="4">
        <f>SQRT((F18^2)+(F$17^2))</f>
        <v>0.81785156970442985</v>
      </c>
      <c r="I18" s="13">
        <f t="shared" si="4"/>
        <v>56.861145833332557</v>
      </c>
      <c r="J18" s="7">
        <f t="shared" si="5"/>
        <v>1.6666666666666666E-2</v>
      </c>
      <c r="K18" s="8">
        <f>1-EXP(-$AE$3*I18)</f>
        <v>0.47371261972696321</v>
      </c>
      <c r="L18" s="4">
        <f t="shared" si="6"/>
        <v>1.3885070750991569E-4</v>
      </c>
      <c r="M18" s="8">
        <f>G18/((1+K18))</f>
        <v>1.0653366056476306</v>
      </c>
      <c r="N18" s="4">
        <f t="shared" si="1"/>
        <v>0.55496009752806874</v>
      </c>
      <c r="O18" s="8">
        <f>M18*K18</f>
        <v>0.50466339435236973</v>
      </c>
      <c r="P18" s="4">
        <f t="shared" si="2"/>
        <v>0.2628916432602223</v>
      </c>
      <c r="Q18" s="8">
        <f t="shared" si="7"/>
        <v>1.5700000000000003</v>
      </c>
      <c r="R18" s="8">
        <v>0.78350000000000009</v>
      </c>
      <c r="S18" s="4">
        <v>1.4142135623731E-4</v>
      </c>
      <c r="T18" s="8">
        <f>M18/R18</f>
        <v>1.3597148763849782</v>
      </c>
      <c r="U18" s="4">
        <f t="shared" si="8"/>
        <v>0.70830903745069163</v>
      </c>
      <c r="V18" s="8">
        <f>SUM($T$2:T18)</f>
        <v>1439.7869249016239</v>
      </c>
      <c r="W18" s="4">
        <f>SQRT((U18^2)+(U17^2)+(U16^2)+(U15^2)+(U14^2)+(U13^2)+(U12^2)+(U11^2)+(U10^2)+(U9^2)+(U8^2)+(U7^2)+(U6^2)+(U5^2)+(U4^2)+(U3^2)+(U2^2))</f>
        <v>7.0831000193165243</v>
      </c>
      <c r="X18" s="8">
        <f t="shared" si="9"/>
        <v>1.7755610094127176E-2</v>
      </c>
      <c r="Y18" s="4">
        <f t="shared" ref="Y18:Y22" si="15">X18*SQRT(((N18/M18)^2))</f>
        <v>9.2493349588011458E-3</v>
      </c>
      <c r="Z18" s="4">
        <f t="shared" ref="Z18:Z22" si="16">Y18^2</f>
        <v>8.5550197180100988E-5</v>
      </c>
      <c r="AA18" s="8">
        <f>(C18-$AE$6)*24</f>
        <v>82.9500124999322</v>
      </c>
      <c r="AB18" s="14">
        <f t="shared" si="12"/>
        <v>0.99977212544377647</v>
      </c>
      <c r="AC18" s="8">
        <f t="shared" si="13"/>
        <v>1.7759657068100253E-2</v>
      </c>
    </row>
    <row r="19" spans="1:29" x14ac:dyDescent="0.25">
      <c r="A19" s="27" t="s">
        <v>29</v>
      </c>
      <c r="B19" s="24">
        <v>43313.58726753472</v>
      </c>
      <c r="C19" s="10">
        <v>43315.979167245372</v>
      </c>
      <c r="D19" s="11">
        <v>10.4</v>
      </c>
      <c r="E19" s="12">
        <v>5.73</v>
      </c>
      <c r="F19" s="4">
        <f t="shared" si="3"/>
        <v>0.59592000000000001</v>
      </c>
      <c r="G19" s="8">
        <f t="shared" si="0"/>
        <v>2.7300000000000004</v>
      </c>
      <c r="H19" s="4">
        <f>SQRT((F19^2)+(F$17^2))</f>
        <v>0.84227603732030742</v>
      </c>
      <c r="I19" s="13">
        <f t="shared" si="4"/>
        <v>57.405593055649661</v>
      </c>
      <c r="J19" s="7">
        <f t="shared" si="5"/>
        <v>1.6666666666666666E-2</v>
      </c>
      <c r="K19" s="8">
        <f>1-EXP(-$AE$3*I19)</f>
        <v>0.47693741290827896</v>
      </c>
      <c r="L19" s="4">
        <f t="shared" si="6"/>
        <v>1.3847007684597625E-4</v>
      </c>
      <c r="M19" s="8">
        <f>G19/((1+K19))</f>
        <v>1.8484195580260103</v>
      </c>
      <c r="N19" s="4">
        <f t="shared" si="1"/>
        <v>0.57028578387348206</v>
      </c>
      <c r="O19" s="8">
        <f>M19*K19</f>
        <v>0.88158044197398977</v>
      </c>
      <c r="P19" s="4">
        <f t="shared" si="2"/>
        <v>0.2719907468073971</v>
      </c>
      <c r="Q19" s="8">
        <f t="shared" si="7"/>
        <v>2.73</v>
      </c>
      <c r="R19" s="8">
        <v>0.77230000000000043</v>
      </c>
      <c r="S19" s="4">
        <v>1.4142135623731E-4</v>
      </c>
      <c r="T19" s="8">
        <f>M19/R19</f>
        <v>2.3933957762864293</v>
      </c>
      <c r="U19" s="4">
        <f t="shared" si="8"/>
        <v>0.73842533253963871</v>
      </c>
      <c r="V19" s="8">
        <f>SUM($T$2:T19)</f>
        <v>1442.1803206779105</v>
      </c>
      <c r="W19" s="4">
        <f>SQRT((U19^2)+(U18^2)+(U17^2)+(U16^2)+(U15^2)+(U14^2)+(U13^2)+(U12^2)+(U11^2)+(U10^2)+(U9^2)+(U8^2)+(U7^2)+(U6^2)+(U5^2)+(U4^2)+(U3^2)+(U2^2))</f>
        <v>7.1214870536551587</v>
      </c>
      <c r="X19" s="8">
        <f t="shared" si="9"/>
        <v>3.0806992633766839E-2</v>
      </c>
      <c r="Y19" s="4">
        <f t="shared" si="15"/>
        <v>9.5047630645580354E-3</v>
      </c>
      <c r="Z19" s="4">
        <f t="shared" si="16"/>
        <v>9.034052091338665E-5</v>
      </c>
      <c r="AA19" s="8">
        <f>(C19-$AE$6)*24</f>
        <v>83.500013888929971</v>
      </c>
      <c r="AB19" s="14">
        <f t="shared" si="12"/>
        <v>0.99977061469117989</v>
      </c>
      <c r="AC19" s="8">
        <f t="shared" si="13"/>
        <v>3.0814060926648502E-2</v>
      </c>
    </row>
    <row r="20" spans="1:29" x14ac:dyDescent="0.25">
      <c r="A20" s="27" t="s">
        <v>30</v>
      </c>
      <c r="B20" s="23">
        <v>43313.587498958332</v>
      </c>
      <c r="C20" s="10">
        <v>43316.002083969906</v>
      </c>
      <c r="D20" s="11">
        <v>9.9600000000000009</v>
      </c>
      <c r="E20" s="12">
        <v>5.85</v>
      </c>
      <c r="F20" s="4">
        <f t="shared" si="3"/>
        <v>0.58266000000000007</v>
      </c>
      <c r="G20" s="8">
        <f t="shared" si="0"/>
        <v>2.2900000000000009</v>
      </c>
      <c r="H20" s="4">
        <f t="shared" ref="H20:H22" si="17">SQRT((F20^2)+(F$17^2))</f>
        <v>0.83294714852984519</v>
      </c>
      <c r="I20" s="13">
        <f t="shared" si="4"/>
        <v>57.950040277792141</v>
      </c>
      <c r="J20" s="7">
        <f t="shared" si="5"/>
        <v>1.6666666666666666E-2</v>
      </c>
      <c r="K20" s="8">
        <f>1-EXP(-$AE$3*I20)</f>
        <v>0.48014244636897163</v>
      </c>
      <c r="L20" s="4">
        <f t="shared" si="6"/>
        <v>1.3809091534343991E-4</v>
      </c>
      <c r="M20" s="8">
        <f>G20/((1+K20))</f>
        <v>1.5471483880607171</v>
      </c>
      <c r="N20" s="4">
        <f t="shared" si="1"/>
        <v>0.56274814019198327</v>
      </c>
      <c r="O20" s="8">
        <f>M20*K20</f>
        <v>0.74285161193928373</v>
      </c>
      <c r="P20" s="4">
        <f t="shared" si="2"/>
        <v>0.27019935318697774</v>
      </c>
      <c r="Q20" s="8">
        <f t="shared" si="7"/>
        <v>2.2900000000000009</v>
      </c>
      <c r="R20" s="8">
        <v>0.75990000000000002</v>
      </c>
      <c r="S20" s="4">
        <v>1.4142135623731E-4</v>
      </c>
      <c r="T20" s="8">
        <f>M20/R20</f>
        <v>2.0359894565873367</v>
      </c>
      <c r="U20" s="4">
        <f t="shared" si="8"/>
        <v>0.74055561765083788</v>
      </c>
      <c r="V20" s="8">
        <f>SUM($T$2:T20)</f>
        <v>1444.2163101344977</v>
      </c>
      <c r="W20" s="4">
        <f>SQRT((U20^2)+(U19^2)+(U18^2)+(U17^2)+(U16^2)+(U15^2)+(U14^2)+(U13^2)+(U12^2)+(U11^2)+(U10^2)+(U9^2)+(U8^2)+(U7^2)+(U6^2)+(U5^2)+(U4^2)+(U3^2)+(U2^2))</f>
        <v>7.1598883006798539</v>
      </c>
      <c r="X20" s="8">
        <f t="shared" si="9"/>
        <v>2.5785806467678619E-2</v>
      </c>
      <c r="Y20" s="4">
        <f t="shared" si="15"/>
        <v>9.3791356698663883E-3</v>
      </c>
      <c r="Z20" s="4">
        <f t="shared" si="16"/>
        <v>8.7968185913760022E-5</v>
      </c>
      <c r="AA20" s="8">
        <f>(C20-$AE$6)*24</f>
        <v>84.050015277753118</v>
      </c>
      <c r="AB20" s="14">
        <f t="shared" si="12"/>
        <v>0.99976910394086682</v>
      </c>
      <c r="AC20" s="8">
        <f t="shared" si="13"/>
        <v>2.5791761683809512E-2</v>
      </c>
    </row>
    <row r="21" spans="1:29" x14ac:dyDescent="0.25">
      <c r="A21" s="27" t="s">
        <v>31</v>
      </c>
      <c r="B21" s="24">
        <v>43313.587730381943</v>
      </c>
      <c r="C21" s="10">
        <v>43316.025000694448</v>
      </c>
      <c r="D21" s="11">
        <v>9.48</v>
      </c>
      <c r="E21" s="12">
        <v>6</v>
      </c>
      <c r="F21" s="4">
        <f t="shared" si="3"/>
        <v>0.56879999999999997</v>
      </c>
      <c r="G21" s="8">
        <f t="shared" si="0"/>
        <v>1.8100000000000005</v>
      </c>
      <c r="H21" s="4">
        <f t="shared" si="17"/>
        <v>0.8233114335681242</v>
      </c>
      <c r="I21" s="13">
        <f t="shared" si="4"/>
        <v>58.494487500109244</v>
      </c>
      <c r="J21" s="7">
        <f t="shared" si="5"/>
        <v>1.6666666666666666E-2</v>
      </c>
      <c r="K21" s="8">
        <f>1-EXP(-$AE$3*I21)</f>
        <v>0.48332784118754979</v>
      </c>
      <c r="L21" s="4">
        <f t="shared" si="6"/>
        <v>1.3771321647663726E-4</v>
      </c>
      <c r="M21" s="8">
        <f>G21/((1+K21))</f>
        <v>1.2202292370855234</v>
      </c>
      <c r="N21" s="4">
        <f t="shared" si="1"/>
        <v>0.55504357986739683</v>
      </c>
      <c r="O21" s="8">
        <f>M21*K21</f>
        <v>0.58977076291447694</v>
      </c>
      <c r="P21" s="4">
        <f t="shared" si="2"/>
        <v>0.26826806785253554</v>
      </c>
      <c r="Q21" s="8">
        <f t="shared" si="7"/>
        <v>1.8100000000000005</v>
      </c>
      <c r="R21" s="8">
        <v>0.90230000000000032</v>
      </c>
      <c r="S21" s="4">
        <v>1.4142135623731E-4</v>
      </c>
      <c r="T21" s="8">
        <f>M21/R21</f>
        <v>1.3523542470193095</v>
      </c>
      <c r="U21" s="4">
        <f t="shared" si="8"/>
        <v>0.61514309300374259</v>
      </c>
      <c r="V21" s="8">
        <f>SUM($T$2:T21)</f>
        <v>1445.568664381517</v>
      </c>
      <c r="W21" s="4">
        <f>SQRT((U21^2)+(U20^2)+(U19^2)+(U18^2)+(U17^2)+(U16^2)+(U15^2)+(U14^2)+(U13^2)+(U12^2)+(U11^2)+(U10^2)+(U9^2)+(U8^2)+(U7^2)+(U6^2)+(U5^2)+(U4^2)+(U3^2)+(U2^2))</f>
        <v>7.186264781030717</v>
      </c>
      <c r="X21" s="8">
        <f t="shared" si="9"/>
        <v>2.033715395142539E-2</v>
      </c>
      <c r="Y21" s="4">
        <f t="shared" si="15"/>
        <v>9.2507263311232789E-3</v>
      </c>
      <c r="Z21" s="4">
        <f t="shared" si="16"/>
        <v>8.5575937653337562E-5</v>
      </c>
      <c r="AA21" s="8">
        <f>(C21-$AE$6)*24</f>
        <v>84.600016666750889</v>
      </c>
      <c r="AB21" s="14">
        <f t="shared" si="12"/>
        <v>0.99976759319283615</v>
      </c>
      <c r="AC21" s="8">
        <f t="shared" si="13"/>
        <v>2.0341881543166542E-2</v>
      </c>
    </row>
    <row r="22" spans="1:29" ht="15.75" thickBot="1" x14ac:dyDescent="0.3">
      <c r="A22" s="28" t="s">
        <v>11</v>
      </c>
      <c r="B22" s="24">
        <v>43313.583796296298</v>
      </c>
      <c r="C22" s="10">
        <v>43316.047917418982</v>
      </c>
      <c r="D22" s="11">
        <v>7.67</v>
      </c>
      <c r="E22" s="12">
        <v>6.67</v>
      </c>
      <c r="F22" s="4">
        <f t="shared" si="3"/>
        <v>0.51158899999999996</v>
      </c>
      <c r="G22" s="8">
        <f t="shared" si="0"/>
        <v>0</v>
      </c>
      <c r="H22" s="4">
        <f t="shared" si="17"/>
        <v>0.78487679387595599</v>
      </c>
      <c r="I22" s="13">
        <f>(C22-B22)*24</f>
        <v>59.138906944426708</v>
      </c>
      <c r="J22" s="7">
        <f t="shared" si="5"/>
        <v>1.6666666666666666E-2</v>
      </c>
      <c r="K22" s="8">
        <f>1-EXP(-$AE$3*I22)</f>
        <v>0.48707292916114819</v>
      </c>
      <c r="L22" s="4">
        <f t="shared" si="6"/>
        <v>1.3726804521960881E-4</v>
      </c>
      <c r="M22" s="8">
        <f>G22/((1+K22))</f>
        <v>0</v>
      </c>
      <c r="N22" s="4" t="e">
        <f t="shared" si="1"/>
        <v>#DIV/0!</v>
      </c>
      <c r="O22" s="8">
        <f>M22*K22</f>
        <v>0</v>
      </c>
      <c r="P22" s="4" t="e">
        <f t="shared" si="2"/>
        <v>#DIV/0!</v>
      </c>
      <c r="Q22" s="8">
        <f t="shared" si="7"/>
        <v>0</v>
      </c>
      <c r="R22" s="8"/>
      <c r="S22" s="4">
        <v>1.4142135623731E-4</v>
      </c>
      <c r="T22" s="8"/>
      <c r="U22" s="4" t="e">
        <f t="shared" si="8"/>
        <v>#DIV/0!</v>
      </c>
      <c r="V22" s="8"/>
      <c r="W22" s="8"/>
      <c r="X22" s="8"/>
      <c r="Y22" s="4" t="e">
        <f t="shared" si="15"/>
        <v>#DIV/0!</v>
      </c>
      <c r="Z22" s="4" t="e">
        <f t="shared" si="16"/>
        <v>#DIV/0!</v>
      </c>
      <c r="AA22" s="8"/>
      <c r="AB22" s="8"/>
      <c r="AC22" s="8"/>
    </row>
    <row r="24" spans="1:29" x14ac:dyDescent="0.25">
      <c r="Y24" s="30" t="s">
        <v>54</v>
      </c>
      <c r="AC24">
        <f>SUM(AC2:AC21)</f>
        <v>19.1502755702843</v>
      </c>
    </row>
    <row r="25" spans="1:29" x14ac:dyDescent="0.25">
      <c r="W25" s="5" t="s">
        <v>53</v>
      </c>
      <c r="X25" s="29">
        <f>SUM(X2:X21)</f>
        <v>19.146198034917749</v>
      </c>
      <c r="Y25" s="5">
        <f>SQRT(SUM(Z2:Z21))</f>
        <v>9.5719402364483147E-2</v>
      </c>
    </row>
    <row r="27" spans="1:29" x14ac:dyDescent="0.25">
      <c r="G27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CT20E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2021-06-16T15:21:55Z</dcterms:modified>
</cp:coreProperties>
</file>